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m\Google Drive\Aitken Creek Ventures Pty Ltd\Capital raise Novermber 2020\"/>
    </mc:Choice>
  </mc:AlternateContent>
  <xr:revisionPtr revIDLastSave="0" documentId="13_ncr:1_{AC0FEE60-209D-4C2D-9303-4C62CB8EE85D}" xr6:coauthVersionLast="45" xr6:coauthVersionMax="45" xr10:uidLastSave="{00000000-0000-0000-0000-000000000000}"/>
  <bookViews>
    <workbookView xWindow="1380" yWindow="300" windowWidth="23235" windowHeight="13875" xr2:uid="{43187703-1B85-4164-9C61-DBAF677F53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G10" i="1"/>
  <c r="G9" i="1"/>
  <c r="F19" i="1"/>
  <c r="I9" i="1"/>
  <c r="I14" i="1" s="1"/>
  <c r="J9" i="1"/>
  <c r="D28" i="1" s="1"/>
  <c r="J24" i="1"/>
  <c r="J23" i="1"/>
  <c r="J22" i="1"/>
  <c r="J21" i="1"/>
  <c r="J20" i="1"/>
  <c r="J19" i="1"/>
  <c r="J18" i="1"/>
  <c r="J17" i="1"/>
  <c r="J16" i="1"/>
  <c r="J15" i="1"/>
  <c r="D27" i="1" l="1"/>
  <c r="J14" i="1"/>
  <c r="I17" i="1"/>
  <c r="I21" i="1"/>
  <c r="I18" i="1"/>
  <c r="I22" i="1"/>
  <c r="I15" i="1"/>
  <c r="I19" i="1"/>
  <c r="I23" i="1"/>
  <c r="I16" i="1"/>
  <c r="I20" i="1"/>
  <c r="I24" i="1"/>
  <c r="G19" i="1"/>
  <c r="G17" i="1"/>
  <c r="J25" i="1" l="1"/>
  <c r="J30" i="1" s="1"/>
  <c r="I25" i="1"/>
  <c r="I30" i="1" s="1"/>
  <c r="F31" i="1" l="1"/>
  <c r="G31" i="1"/>
  <c r="G11" i="1" l="1"/>
  <c r="G28" i="1" l="1"/>
  <c r="J11" i="1"/>
  <c r="F17" i="1"/>
  <c r="F11" i="1" l="1"/>
  <c r="F27" i="1" l="1"/>
  <c r="F35" i="1" s="1"/>
  <c r="M19" i="1" s="1"/>
  <c r="M20" i="1" s="1"/>
  <c r="I11" i="1"/>
  <c r="I27" i="1" s="1"/>
  <c r="J27" i="1"/>
  <c r="G37" i="1"/>
  <c r="O19" i="1" s="1"/>
  <c r="O20" i="1" s="1"/>
  <c r="P19" i="1" l="1"/>
  <c r="P18" i="1"/>
  <c r="N19" i="1"/>
  <c r="N18" i="1"/>
</calcChain>
</file>

<file path=xl/sharedStrings.xml><?xml version="1.0" encoding="utf-8"?>
<sst xmlns="http://schemas.openxmlformats.org/spreadsheetml/2006/main" count="43" uniqueCount="31">
  <si>
    <t>Aitken St Dating budget</t>
  </si>
  <si>
    <t>Google Advertising</t>
  </si>
  <si>
    <t>IT costs</t>
  </si>
  <si>
    <t>Payments to employees &amp; contractors</t>
  </si>
  <si>
    <t>Director's fees</t>
  </si>
  <si>
    <t>Budget for miscellaneous items</t>
  </si>
  <si>
    <t>Income from Google Ads</t>
  </si>
  <si>
    <t>Budgeted income</t>
  </si>
  <si>
    <t>Minimum</t>
  </si>
  <si>
    <t>Subscription</t>
  </si>
  <si>
    <t>Maximum</t>
  </si>
  <si>
    <t>Total</t>
  </si>
  <si>
    <t>Income from site Membership fees</t>
  </si>
  <si>
    <t>p.a.</t>
  </si>
  <si>
    <t>Fundraising target (Minimum subscription)</t>
  </si>
  <si>
    <t>Fundraising target (Maximum subscription)</t>
  </si>
  <si>
    <t>Expenses / Use of Funds</t>
  </si>
  <si>
    <t>Brand building advertising</t>
  </si>
  <si>
    <t>Registry fees</t>
  </si>
  <si>
    <t>Accounting</t>
  </si>
  <si>
    <t>Legal</t>
  </si>
  <si>
    <t>CEO's remuneration</t>
  </si>
  <si>
    <t>Birchal fees</t>
  </si>
  <si>
    <t>Other Fundraising costs</t>
  </si>
  <si>
    <t>Capital/structure</t>
  </si>
  <si>
    <t>Directors</t>
  </si>
  <si>
    <t>Investors</t>
  </si>
  <si>
    <t>Repayment of loan from the founder</t>
  </si>
  <si>
    <t>Income p.a.</t>
  </si>
  <si>
    <t>yrs</t>
  </si>
  <si>
    <t>txt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</si>
</sst>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3" fontId="0" fillId="0" borderId="0" xfId="1" applyNumberFormat="1" applyFont="1"/>
    <xf numFmtId="3" fontId="0" fillId="0" borderId="0" xfId="0" applyNumberFormat="1"/>
    <xf numFmtId="9" fontId="0" fillId="0" borderId="0" xfId="2" applyFont="1"/>
    <xf numFmtId="3" fontId="2" fillId="0" borderId="0" xfId="1" applyNumberFormat="1" applyFont="1"/>
    <xf numFmtId="3" fontId="3" fillId="0" borderId="0" xfId="0" applyNumberFormat="1" applyFont="1"/>
    <xf numFmtId="3" fontId="3" fillId="0" borderId="0" xfId="1" applyNumberFormat="1" applyFont="1"/>
    <xf numFmtId="3" fontId="4" fillId="0" borderId="0" xfId="0" applyNumberFormat="1" applyFont="1"/>
    <xf numFmtId="9" fontId="3" fillId="0" borderId="0" xfId="2" applyFont="1"/>
    <xf numFmtId="0" fontId="4" fillId="0" borderId="0" xfId="0" applyFont="1"/>
    <xf numFmtId="4" fontId="0" fillId="0" borderId="0" xfId="0" applyNumberFormat="1"/>
    <xf numFmtId="3" fontId="5" fillId="0" borderId="0" xfId="0" applyNumberFormat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7C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5957-0E75-486D-804F-E85B6BA7A944}">
  <dimension ref="D3:P37"/>
  <sheetViews>
    <sheetView tabSelected="1" topLeftCell="B1" workbookViewId="0">
      <selection activeCell="C2" sqref="C2"/>
    </sheetView>
  </sheetViews>
  <sheetFormatPr defaultRowHeight="15" x14ac:dyDescent="0.25"/>
  <cols>
    <col min="4" max="4" width="39.140625" customWidth="1"/>
    <col min="5" max="5" width="12.5703125" style="1" bestFit="1" customWidth="1"/>
    <col min="6" max="6" width="14" style="2" customWidth="1"/>
    <col min="7" max="7" width="14.7109375" style="2" customWidth="1"/>
    <col min="9" max="9" width="14.5703125" style="3" customWidth="1"/>
    <col min="10" max="10" width="14.7109375" style="3" customWidth="1"/>
    <col min="12" max="12" width="9.7109375" customWidth="1"/>
    <col min="13" max="13" width="12.28515625" customWidth="1"/>
    <col min="14" max="14" width="6.42578125" style="4" customWidth="1"/>
    <col min="15" max="15" width="12.85546875" customWidth="1"/>
    <col min="16" max="16" width="6.28515625" style="4" customWidth="1"/>
  </cols>
  <sheetData>
    <row r="3" spans="4:15" x14ac:dyDescent="0.25">
      <c r="D3" s="10" t="s">
        <v>0</v>
      </c>
    </row>
    <row r="5" spans="4:15" x14ac:dyDescent="0.25">
      <c r="F5" s="2" t="s">
        <v>8</v>
      </c>
      <c r="G5" s="2" t="s">
        <v>10</v>
      </c>
      <c r="I5" s="2" t="s">
        <v>8</v>
      </c>
      <c r="J5" s="2" t="s">
        <v>10</v>
      </c>
    </row>
    <row r="6" spans="4:15" x14ac:dyDescent="0.25">
      <c r="F6" s="2" t="s">
        <v>9</v>
      </c>
      <c r="G6" s="2" t="s">
        <v>9</v>
      </c>
      <c r="I6" s="2" t="s">
        <v>9</v>
      </c>
      <c r="J6" s="2" t="s">
        <v>9</v>
      </c>
    </row>
    <row r="7" spans="4:15" x14ac:dyDescent="0.25">
      <c r="D7" t="s">
        <v>7</v>
      </c>
    </row>
    <row r="8" spans="4:15" x14ac:dyDescent="0.25">
      <c r="F8" s="2" t="s">
        <v>13</v>
      </c>
      <c r="G8" s="2" t="s">
        <v>13</v>
      </c>
      <c r="I8" s="11">
        <v>1</v>
      </c>
      <c r="J8" s="3">
        <v>4.5</v>
      </c>
      <c r="K8" t="s">
        <v>29</v>
      </c>
    </row>
    <row r="9" spans="4:15" x14ac:dyDescent="0.25">
      <c r="D9" t="s">
        <v>6</v>
      </c>
      <c r="F9" s="2">
        <f>F15*0.25</f>
        <v>7063.6363636363494</v>
      </c>
      <c r="G9" s="2">
        <f>G15*0.2</f>
        <v>13036.581196581166</v>
      </c>
      <c r="I9" s="12" t="str">
        <f>IF(I8=1,"1 year",I8 &amp; " years")</f>
        <v>1 year</v>
      </c>
      <c r="J9" s="12" t="str">
        <f>$J$8 &amp; " years"</f>
        <v>4.5 years</v>
      </c>
      <c r="K9" t="s">
        <v>30</v>
      </c>
    </row>
    <row r="10" spans="4:15" x14ac:dyDescent="0.25">
      <c r="D10" t="s">
        <v>12</v>
      </c>
      <c r="F10" s="2">
        <f>F15*0.2</f>
        <v>5650.9090909090801</v>
      </c>
      <c r="G10" s="2">
        <f>G15*0.15</f>
        <v>9777.4358974358729</v>
      </c>
    </row>
    <row r="11" spans="4:15" x14ac:dyDescent="0.25">
      <c r="D11" t="s">
        <v>11</v>
      </c>
      <c r="F11" s="2">
        <f>F9+F10</f>
        <v>12714.54545454543</v>
      </c>
      <c r="G11" s="2">
        <f>G9+G10</f>
        <v>22814.017094017039</v>
      </c>
      <c r="I11" s="6">
        <f>F11*$I$8</f>
        <v>12714.54545454543</v>
      </c>
      <c r="J11" s="6">
        <f>G11*$J$8</f>
        <v>102663.07692307667</v>
      </c>
    </row>
    <row r="13" spans="4:15" x14ac:dyDescent="0.25">
      <c r="D13" t="s">
        <v>16</v>
      </c>
    </row>
    <row r="14" spans="4:15" x14ac:dyDescent="0.25">
      <c r="F14" s="2" t="s">
        <v>13</v>
      </c>
      <c r="G14" s="2" t="s">
        <v>13</v>
      </c>
      <c r="I14" t="str">
        <f>"Over " &amp; $I$9</f>
        <v>Over 1 year</v>
      </c>
      <c r="J14" t="str">
        <f>"Over " &amp; $J$9</f>
        <v>Over 4.5 years</v>
      </c>
      <c r="M14" t="s">
        <v>24</v>
      </c>
    </row>
    <row r="15" spans="4:15" x14ac:dyDescent="0.25">
      <c r="D15" t="s">
        <v>1</v>
      </c>
      <c r="F15" s="2">
        <v>28254.545454545398</v>
      </c>
      <c r="G15" s="2">
        <v>65182.905982905824</v>
      </c>
      <c r="I15" s="6">
        <f>F15*$I$8</f>
        <v>28254.545454545398</v>
      </c>
      <c r="J15" s="6">
        <f>G15*$J$8</f>
        <v>293323.07692307618</v>
      </c>
    </row>
    <row r="16" spans="4:15" x14ac:dyDescent="0.25">
      <c r="D16" t="s">
        <v>17</v>
      </c>
      <c r="I16" s="6">
        <f>F16*$I$8</f>
        <v>0</v>
      </c>
      <c r="J16" s="6">
        <f>G16*$J$8</f>
        <v>0</v>
      </c>
      <c r="M16" t="s">
        <v>8</v>
      </c>
      <c r="O16" t="s">
        <v>10</v>
      </c>
    </row>
    <row r="17" spans="4:16" x14ac:dyDescent="0.25">
      <c r="D17" t="s">
        <v>2</v>
      </c>
      <c r="F17" s="2">
        <f>360*12</f>
        <v>4320</v>
      </c>
      <c r="G17" s="2">
        <f>360*12</f>
        <v>4320</v>
      </c>
      <c r="I17" s="6">
        <f>F17*$I$8</f>
        <v>4320</v>
      </c>
      <c r="J17" s="6">
        <f>G17*$J$8</f>
        <v>19440</v>
      </c>
      <c r="M17" t="s">
        <v>9</v>
      </c>
      <c r="O17" t="s">
        <v>9</v>
      </c>
    </row>
    <row r="18" spans="4:16" x14ac:dyDescent="0.25">
      <c r="D18" t="s">
        <v>21</v>
      </c>
      <c r="G18" s="2">
        <v>91000</v>
      </c>
      <c r="I18" s="6">
        <f>F18*$I$8</f>
        <v>0</v>
      </c>
      <c r="J18" s="6">
        <f>G18*$J$8</f>
        <v>409500</v>
      </c>
      <c r="L18" t="s">
        <v>25</v>
      </c>
      <c r="M18" s="6">
        <v>2000001</v>
      </c>
      <c r="N18" s="9">
        <f>M18/M20</f>
        <v>0.96618359121565645</v>
      </c>
      <c r="O18" s="6">
        <v>2000001</v>
      </c>
      <c r="P18" s="9">
        <f>O18/O20</f>
        <v>0.66666677777774086</v>
      </c>
    </row>
    <row r="19" spans="4:16" x14ac:dyDescent="0.25">
      <c r="D19" t="s">
        <v>3</v>
      </c>
      <c r="F19" s="2">
        <f>120*52</f>
        <v>6240</v>
      </c>
      <c r="G19" s="2">
        <f>250*52</f>
        <v>13000</v>
      </c>
      <c r="I19" s="6">
        <f>F19*$I$8</f>
        <v>6240</v>
      </c>
      <c r="J19" s="6">
        <f>G19*$J$8</f>
        <v>58500</v>
      </c>
      <c r="L19" t="s">
        <v>26</v>
      </c>
      <c r="M19" s="6">
        <f>F35</f>
        <v>69999.999999999971</v>
      </c>
      <c r="N19" s="9">
        <f>M19/M20</f>
        <v>3.3816408784343568E-2</v>
      </c>
      <c r="O19" s="6">
        <f>G37</f>
        <v>999999.99999999953</v>
      </c>
      <c r="P19" s="9">
        <f>O19/O20</f>
        <v>0.33333322222225914</v>
      </c>
    </row>
    <row r="20" spans="4:16" x14ac:dyDescent="0.25">
      <c r="D20" t="s">
        <v>4</v>
      </c>
      <c r="G20" s="2">
        <v>5000</v>
      </c>
      <c r="I20" s="6">
        <f>F20*$I$8</f>
        <v>0</v>
      </c>
      <c r="J20" s="6">
        <f>G20*$J$8</f>
        <v>22500</v>
      </c>
      <c r="M20" s="6">
        <f>M18+M19</f>
        <v>2070001</v>
      </c>
      <c r="N20" s="9"/>
      <c r="O20" s="6">
        <f>O18+O19</f>
        <v>3000000.9999999995</v>
      </c>
      <c r="P20" s="9"/>
    </row>
    <row r="21" spans="4:16" x14ac:dyDescent="0.25">
      <c r="D21" t="s">
        <v>18</v>
      </c>
      <c r="F21" s="2">
        <v>1200</v>
      </c>
      <c r="G21" s="2">
        <v>1200</v>
      </c>
      <c r="I21" s="6">
        <f>F21*$I$8</f>
        <v>1200</v>
      </c>
      <c r="J21" s="6">
        <f>G21*$J$8</f>
        <v>5400</v>
      </c>
    </row>
    <row r="22" spans="4:16" x14ac:dyDescent="0.25">
      <c r="D22" t="s">
        <v>19</v>
      </c>
      <c r="F22" s="2">
        <v>2000</v>
      </c>
      <c r="G22" s="2">
        <v>3000</v>
      </c>
      <c r="I22" s="6">
        <f>F22*$I$8</f>
        <v>2000</v>
      </c>
      <c r="J22" s="6">
        <f>G22*$J$8</f>
        <v>13500</v>
      </c>
    </row>
    <row r="23" spans="4:16" x14ac:dyDescent="0.25">
      <c r="D23" t="s">
        <v>20</v>
      </c>
      <c r="F23" s="2">
        <v>3500</v>
      </c>
      <c r="G23" s="2">
        <v>5000</v>
      </c>
      <c r="I23" s="6">
        <f>F23*$I$8</f>
        <v>3500</v>
      </c>
      <c r="J23" s="6">
        <f>G23*$J$8</f>
        <v>22500</v>
      </c>
    </row>
    <row r="24" spans="4:16" x14ac:dyDescent="0.25">
      <c r="D24" t="s">
        <v>5</v>
      </c>
      <c r="F24" s="2">
        <v>5000</v>
      </c>
      <c r="G24" s="2">
        <v>10000</v>
      </c>
      <c r="H24" s="3"/>
      <c r="I24" s="6">
        <f>F24*$I$8</f>
        <v>5000</v>
      </c>
      <c r="J24" s="6">
        <f>G24*$J$8</f>
        <v>45000</v>
      </c>
    </row>
    <row r="25" spans="4:16" x14ac:dyDescent="0.25">
      <c r="D25" t="s">
        <v>27</v>
      </c>
      <c r="F25" s="2">
        <v>25000</v>
      </c>
      <c r="G25" s="2">
        <v>150000</v>
      </c>
      <c r="I25" s="6">
        <f>F25</f>
        <v>25000</v>
      </c>
      <c r="J25" s="6">
        <f>G25</f>
        <v>150000</v>
      </c>
    </row>
    <row r="27" spans="4:16" x14ac:dyDescent="0.25">
      <c r="D27" t="str">
        <f>"Use of funds over " &amp; $I$9</f>
        <v>Use of funds over 1 year</v>
      </c>
      <c r="F27" s="2">
        <f>-(SUM(F15:F24)*$I$8+F25-F11*$I$8)</f>
        <v>-62799.999999999971</v>
      </c>
      <c r="I27" s="8">
        <f>SUM(I15:I25)+F31+F32-I11</f>
        <v>69999.999999999971</v>
      </c>
      <c r="J27" s="8">
        <f>SUM(J15:J25)+G31+G32-J11</f>
        <v>999999.99999999942</v>
      </c>
    </row>
    <row r="28" spans="4:16" x14ac:dyDescent="0.25">
      <c r="D28" t="str">
        <f>"Use of funds over " &amp; $J$9</f>
        <v>Use of funds over 4.5 years</v>
      </c>
      <c r="G28" s="2">
        <f>-(SUM(G15:G24)*$J$8+G25-G11*$J$8)</f>
        <v>-936999.99999999953</v>
      </c>
    </row>
    <row r="29" spans="4:16" x14ac:dyDescent="0.25">
      <c r="I29" s="3" t="s">
        <v>28</v>
      </c>
    </row>
    <row r="30" spans="4:16" x14ac:dyDescent="0.25">
      <c r="F30" s="5">
        <v>70000</v>
      </c>
      <c r="G30" s="5">
        <v>1000000</v>
      </c>
      <c r="I30" s="3">
        <f>(I18+I25)/$I$8</f>
        <v>25000</v>
      </c>
      <c r="J30" s="3">
        <f>(J18+J25)/$J$8</f>
        <v>124333.33333333333</v>
      </c>
    </row>
    <row r="31" spans="4:16" x14ac:dyDescent="0.25">
      <c r="D31" t="s">
        <v>22</v>
      </c>
      <c r="F31" s="7">
        <f>F30*0.06</f>
        <v>4200</v>
      </c>
      <c r="G31" s="7">
        <f>G30*0.06</f>
        <v>60000</v>
      </c>
    </row>
    <row r="32" spans="4:16" x14ac:dyDescent="0.25">
      <c r="D32" t="s">
        <v>23</v>
      </c>
      <c r="F32" s="7">
        <v>3000</v>
      </c>
      <c r="G32" s="7">
        <v>3000</v>
      </c>
    </row>
    <row r="35" spans="4:7" x14ac:dyDescent="0.25">
      <c r="D35" t="s">
        <v>14</v>
      </c>
      <c r="F35" s="2">
        <f>-F27+F31+F32</f>
        <v>69999.999999999971</v>
      </c>
    </row>
    <row r="37" spans="4:7" x14ac:dyDescent="0.25">
      <c r="D37" t="s">
        <v>15</v>
      </c>
      <c r="G37" s="2">
        <f>-G28+G31+G32</f>
        <v>999999.99999999953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McIlroy</dc:creator>
  <cp:lastModifiedBy>Mark McIlroy</cp:lastModifiedBy>
  <dcterms:created xsi:type="dcterms:W3CDTF">2020-10-31T06:49:04Z</dcterms:created>
  <dcterms:modified xsi:type="dcterms:W3CDTF">2020-11-08T09:59:11Z</dcterms:modified>
</cp:coreProperties>
</file>